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8640" activeTab="0"/>
  </bookViews>
  <sheets>
    <sheet name="32 subj" sheetId="1" r:id="rId1"/>
    <sheet name="18 subj" sheetId="2" r:id="rId2"/>
  </sheets>
  <definedNames/>
  <calcPr fullCalcOnLoad="1"/>
</workbook>
</file>

<file path=xl/sharedStrings.xml><?xml version="1.0" encoding="utf-8"?>
<sst xmlns="http://schemas.openxmlformats.org/spreadsheetml/2006/main" count="75" uniqueCount="67">
  <si>
    <t>Run no.</t>
  </si>
  <si>
    <t>Sheet no.</t>
  </si>
  <si>
    <t>PP (num)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</si>
  <si>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</si>
  <si>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</si>
  <si>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</si>
  <si>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</si>
  <si>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</si>
  <si>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</si>
  <si>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</si>
  <si>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</si>
  <si>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</si>
  <si>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</si>
  <si>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</si>
  <si>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</si>
  <si>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</si>
  <si>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</si>
  <si>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</si>
  <si>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</si>
  <si>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</si>
  <si>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</si>
  <si>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</si>
  <si>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</si>
  <si>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</si>
  <si>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</si>
  <si>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</si>
  <si>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</si>
  <si>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</si>
  <si>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</si>
  <si>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</si>
  <si>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</si>
  <si>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</si>
  <si>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</si>
  <si>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</si>
  <si>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</si>
  <si>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Run starts</t>
  </si>
  <si>
    <t>Run ends</t>
  </si>
  <si>
    <t>Serial number:</t>
  </si>
  <si>
    <t>Run size (sheets):</t>
  </si>
  <si>
    <t>Run start (optional):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</si>
  <si>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</si>
  <si>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</si>
  <si>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</si>
  <si>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</si>
  <si>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</si>
  <si>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</si>
  <si>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</si>
  <si>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</si>
  <si>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</si>
  <si>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</si>
  <si>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</si>
  <si>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</si>
  <si>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</si>
  <si>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</si>
  <si>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</si>
  <si>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</si>
  <si>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</si>
  <si>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</si>
  <si>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Plate pos.</t>
  </si>
  <si>
    <t>32-subject-sheet serial layout calculator</t>
  </si>
  <si>
    <t>18-subject-sheet serial layout calculator</t>
  </si>
  <si>
    <t>A run size of 200,000 sheets is correct for most current notes.  Change it to 100,000 sheets for $50's, $100's, and many star notes.</t>
  </si>
  <si>
    <t>Various smaller run sizes were used in past decades; for example, use 20,000 for 1976 $2's.</t>
  </si>
  <si>
    <t>For certain recent stars, uncut sheet notes, &amp;c. printed in irregular runs, both the run size and the starting serial must be specified.</t>
  </si>
  <si>
    <t>Except in these special cases, the optional run start box should be left blank.</t>
  </si>
  <si>
    <t>Enter an eight-digit serial number at upper left, and the serial layout of its original sheet will be displayed at right.</t>
  </si>
  <si>
    <t>Typical run sizes from the 18-subject era will be either 20,000 or 8000 sheets.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</si>
</sst>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0" borderId="12" xfId="0" applyBorder="1" applyAlignment="1">
      <alignment/>
    </xf>
    <xf numFmtId="0" fontId="37" fillId="0" borderId="0" xfId="0" applyFont="1" applyAlignment="1">
      <alignment/>
    </xf>
    <xf numFmtId="0" fontId="0" fillId="32" borderId="13" xfId="0" applyFill="1" applyBorder="1" applyAlignment="1">
      <alignment vertical="top"/>
    </xf>
    <xf numFmtId="164" fontId="0" fillId="32" borderId="14" xfId="0" applyNumberFormat="1" applyFill="1" applyBorder="1" applyAlignment="1">
      <alignment/>
    </xf>
    <xf numFmtId="0" fontId="0" fillId="32" borderId="15" xfId="0" applyFill="1" applyBorder="1" applyAlignment="1">
      <alignment vertical="top"/>
    </xf>
    <xf numFmtId="0" fontId="0" fillId="32" borderId="16" xfId="0" applyFill="1" applyBorder="1" applyAlignment="1">
      <alignment vertical="top"/>
    </xf>
    <xf numFmtId="0" fontId="0" fillId="32" borderId="11" xfId="0" applyFill="1" applyBorder="1" applyAlignment="1">
      <alignment vertical="top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2" borderId="13" xfId="0" applyFill="1" applyBorder="1" applyAlignment="1" applyProtection="1">
      <alignment vertical="top"/>
      <protection/>
    </xf>
    <xf numFmtId="164" fontId="0" fillId="32" borderId="14" xfId="0" applyNumberFormat="1" applyFill="1" applyBorder="1" applyAlignment="1" applyProtection="1">
      <alignment/>
      <protection/>
    </xf>
    <xf numFmtId="0" fontId="0" fillId="32" borderId="15" xfId="0" applyFill="1" applyBorder="1" applyAlignment="1" applyProtection="1">
      <alignment vertical="top"/>
      <protection/>
    </xf>
    <xf numFmtId="0" fontId="0" fillId="32" borderId="16" xfId="0" applyFill="1" applyBorder="1" applyAlignment="1" applyProtection="1">
      <alignment vertical="top"/>
      <protection/>
    </xf>
    <xf numFmtId="0" fontId="0" fillId="32" borderId="11" xfId="0" applyFill="1" applyBorder="1" applyAlignment="1" applyProtection="1">
      <alignment vertical="top"/>
      <protection/>
    </xf>
    <xf numFmtId="0" fontId="3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7" fillId="0" borderId="0" xfId="0" applyFont="1" applyAlignment="1" applyProtection="1">
      <alignment/>
      <protection/>
    </xf>
    <xf numFmtId="164" fontId="38" fillId="33" borderId="18" xfId="0" applyNumberFormat="1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164" fontId="0" fillId="33" borderId="18" xfId="0" applyNumberFormat="1" applyFill="1" applyBorder="1" applyAlignment="1" applyProtection="1">
      <alignment/>
      <protection locked="0"/>
    </xf>
    <xf numFmtId="0" fontId="3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B3" sqref="B3"/>
    </sheetView>
  </sheetViews>
  <sheetFormatPr defaultColWidth="9.140625" defaultRowHeight="24.75" customHeight="1"/>
  <cols>
    <col min="1" max="1" width="18.28125" style="0" customWidth="1"/>
    <col min="2" max="2" width="12.7109375" style="0" customWidth="1"/>
    <col min="3" max="4" width="7.7109375" style="0" customWidth="1"/>
    <col min="5" max="6" width="10.140625" style="0" customWidth="1"/>
    <col min="7" max="8" width="7.7109375" style="0" customWidth="1"/>
    <col min="9" max="9" width="3.140625" style="0" customWidth="1"/>
    <col min="10" max="10" width="8.7109375" style="0" customWidth="1"/>
    <col min="11" max="11" width="3.140625" style="0" customWidth="1"/>
    <col min="12" max="12" width="8.7109375" style="0" customWidth="1"/>
    <col min="13" max="13" width="0.42578125" style="0" customWidth="1"/>
    <col min="14" max="14" width="3.140625" style="0" customWidth="1"/>
    <col min="15" max="15" width="8.7109375" style="0" customWidth="1"/>
    <col min="16" max="16" width="3.140625" style="0" customWidth="1"/>
    <col min="17" max="17" width="8.7109375" style="0" customWidth="1"/>
  </cols>
  <sheetData>
    <row r="1" spans="1:6" ht="24.75" customHeight="1">
      <c r="A1" s="30" t="s">
        <v>59</v>
      </c>
      <c r="B1" s="30"/>
      <c r="C1" s="30"/>
      <c r="D1" s="30"/>
      <c r="E1" s="30"/>
      <c r="F1" s="30"/>
    </row>
    <row r="2" spans="9:17" ht="24.75" customHeight="1" thickBot="1">
      <c r="I2" s="2"/>
      <c r="J2" s="2"/>
      <c r="K2" s="2"/>
      <c r="L2" s="2"/>
      <c r="M2" s="14"/>
      <c r="N2" s="2"/>
      <c r="O2" s="2"/>
      <c r="P2" s="2"/>
      <c r="Q2" s="2"/>
    </row>
    <row r="3" spans="1:17" ht="24.75" customHeight="1" thickBot="1">
      <c r="A3" s="26" t="s">
        <v>37</v>
      </c>
      <c r="B3" s="27">
        <v>9699690</v>
      </c>
      <c r="C3" s="3"/>
      <c r="E3" s="21" t="s">
        <v>0</v>
      </c>
      <c r="F3" s="22">
        <f>IF(ISBLANK($B$10),INT(($B$3-1)/(32*$B$8))+1,"")</f>
        <v>2</v>
      </c>
      <c r="H3" s="1"/>
      <c r="I3" s="16" t="s">
        <v>3</v>
      </c>
      <c r="J3" s="17">
        <f>$F$4-1+$F$7</f>
        <v>6499690</v>
      </c>
      <c r="K3" s="16" t="s">
        <v>7</v>
      </c>
      <c r="L3" s="17">
        <f>$F$4-1+$F$7+$B$8*4</f>
        <v>7299690</v>
      </c>
      <c r="M3" s="15"/>
      <c r="N3" s="16" t="s">
        <v>19</v>
      </c>
      <c r="O3" s="17">
        <f>$F$4-1+$F$7+$B$8*16</f>
        <v>9699690</v>
      </c>
      <c r="P3" s="16" t="s">
        <v>23</v>
      </c>
      <c r="Q3" s="17">
        <f>$F$4-1+$F$7+$B$8*20</f>
        <v>10499690</v>
      </c>
    </row>
    <row r="4" spans="5:17" ht="24.75" customHeight="1" thickBot="1">
      <c r="E4" s="21" t="s">
        <v>35</v>
      </c>
      <c r="F4" s="23">
        <f>IF(ISBLANK($B$10),($F$3-1)*32*$B$8+1,$B$10)</f>
        <v>6400001</v>
      </c>
      <c r="H4" s="1"/>
      <c r="I4" s="16" t="s">
        <v>4</v>
      </c>
      <c r="J4" s="17">
        <f>$F$4-1+$F$7+$B$8*1</f>
        <v>6699690</v>
      </c>
      <c r="K4" s="18" t="s">
        <v>8</v>
      </c>
      <c r="L4" s="17">
        <f>$F$4-1+$F$7+$B$8*5</f>
        <v>7499690</v>
      </c>
      <c r="M4" s="15"/>
      <c r="N4" s="18" t="s">
        <v>20</v>
      </c>
      <c r="O4" s="17">
        <f>$F$4-1+$F$7+$B$8*17</f>
        <v>9899690</v>
      </c>
      <c r="P4" s="18" t="s">
        <v>24</v>
      </c>
      <c r="Q4" s="17">
        <f>$F$4-1+$F$7+$B$8*21</f>
        <v>10699690</v>
      </c>
    </row>
    <row r="5" spans="5:17" ht="24.75" customHeight="1" thickBot="1">
      <c r="E5" s="21" t="s">
        <v>36</v>
      </c>
      <c r="F5" s="23">
        <f>$F$4+32*$B$8-1</f>
        <v>12800000</v>
      </c>
      <c r="H5" s="1"/>
      <c r="I5" s="16" t="s">
        <v>5</v>
      </c>
      <c r="J5" s="17">
        <f>$F$4-1+$F$7+$B$8*2</f>
        <v>6899690</v>
      </c>
      <c r="K5" s="18" t="s">
        <v>9</v>
      </c>
      <c r="L5" s="17">
        <f>$F$4-1+$F$7+$B$8*6</f>
        <v>7699690</v>
      </c>
      <c r="M5" s="15"/>
      <c r="N5" s="18" t="s">
        <v>21</v>
      </c>
      <c r="O5" s="17">
        <f>$F$4-1+$F$7+$B$8*18</f>
        <v>10099690</v>
      </c>
      <c r="P5" s="18" t="s">
        <v>25</v>
      </c>
      <c r="Q5" s="17">
        <f>$F$4-1+$F$7+$B$8*22</f>
        <v>10899690</v>
      </c>
    </row>
    <row r="6" spans="8:17" ht="24.75" customHeight="1" thickBot="1">
      <c r="H6" s="1"/>
      <c r="I6" s="19" t="s">
        <v>6</v>
      </c>
      <c r="J6" s="17">
        <f>$F$4-1+$F$7+$B$8*3</f>
        <v>7099690</v>
      </c>
      <c r="K6" s="20" t="s">
        <v>10</v>
      </c>
      <c r="L6" s="17">
        <f>$F$4-1+$F$7+$B$8*7</f>
        <v>7899690</v>
      </c>
      <c r="M6" s="15"/>
      <c r="N6" s="20" t="s">
        <v>22</v>
      </c>
      <c r="O6" s="17">
        <f>$F$4-1+$F$7+$B$8*19</f>
        <v>10299690</v>
      </c>
      <c r="P6" s="20" t="s">
        <v>26</v>
      </c>
      <c r="Q6" s="17">
        <f>$F$4-1+$F$7+$B$8*23</f>
        <v>11099690</v>
      </c>
    </row>
    <row r="7" spans="5:17" ht="24.75" customHeight="1" thickBot="1">
      <c r="E7" s="21" t="s">
        <v>1</v>
      </c>
      <c r="F7" s="24">
        <f>MOD($B$3-$F$4,$B$8)+1</f>
        <v>99690</v>
      </c>
      <c r="H7" s="1"/>
      <c r="I7" s="16" t="s">
        <v>11</v>
      </c>
      <c r="J7" s="17">
        <f>$F$4-1+$F$7+$B$8*8</f>
        <v>8099690</v>
      </c>
      <c r="K7" s="18" t="s">
        <v>15</v>
      </c>
      <c r="L7" s="17">
        <f>$F$4-1+$F$7+$B$8*12</f>
        <v>8899690</v>
      </c>
      <c r="M7" s="15"/>
      <c r="N7" s="18" t="s">
        <v>27</v>
      </c>
      <c r="O7" s="17">
        <f>$F$4-1+$F$7+$B$8*24</f>
        <v>11299690</v>
      </c>
      <c r="P7" s="18" t="s">
        <v>31</v>
      </c>
      <c r="Q7" s="17">
        <f>$F$4-1+$F$7+$B$8*28</f>
        <v>12099690</v>
      </c>
    </row>
    <row r="8" spans="1:17" ht="24.75" customHeight="1" thickBot="1">
      <c r="A8" s="21" t="s">
        <v>38</v>
      </c>
      <c r="B8" s="28">
        <v>200000</v>
      </c>
      <c r="H8" s="1"/>
      <c r="I8" s="16" t="s">
        <v>12</v>
      </c>
      <c r="J8" s="17">
        <f>$F$4-1+$F$7+$B$8*9</f>
        <v>8299690</v>
      </c>
      <c r="K8" s="18" t="s">
        <v>16</v>
      </c>
      <c r="L8" s="17">
        <f>$F$4-1+$F$7+$B$8*13</f>
        <v>9099690</v>
      </c>
      <c r="M8" s="15"/>
      <c r="N8" s="18" t="s">
        <v>28</v>
      </c>
      <c r="O8" s="17">
        <f>$F$4-1+$F$7+$B$8*25</f>
        <v>11499690</v>
      </c>
      <c r="P8" s="18" t="s">
        <v>32</v>
      </c>
      <c r="Q8" s="17">
        <f>$F$4-1+$F$7+$B$8*29</f>
        <v>12299690</v>
      </c>
    </row>
    <row r="9" spans="1:17" ht="24.75" customHeight="1" thickBot="1">
      <c r="A9" s="6"/>
      <c r="B9" s="7"/>
      <c r="E9" s="21" t="s">
        <v>58</v>
      </c>
      <c r="F9" s="25" t="str">
        <f>LOOKUP(MOD($F$10-1,8)+1,{1,2,3,4,5,6,7,8},{"A","B","C","D","E","F","G","H"})&amp;(INT(($F$10-1)/8)+1)</f>
        <v>A3</v>
      </c>
      <c r="H9" s="1"/>
      <c r="I9" s="16" t="s">
        <v>13</v>
      </c>
      <c r="J9" s="17">
        <f>$F$4-1+$F$7+$B$8*10</f>
        <v>8499690</v>
      </c>
      <c r="K9" s="18" t="s">
        <v>17</v>
      </c>
      <c r="L9" s="17">
        <f>$F$4-1+$F$7+$B$8*14</f>
        <v>9299690</v>
      </c>
      <c r="M9" s="15"/>
      <c r="N9" s="18" t="s">
        <v>29</v>
      </c>
      <c r="O9" s="17">
        <f>$F$4-1+$F$7+$B$8*26</f>
        <v>11699690</v>
      </c>
      <c r="P9" s="18" t="s">
        <v>33</v>
      </c>
      <c r="Q9" s="17">
        <f>$F$4-1+$F$7+$B$8*30</f>
        <v>12499690</v>
      </c>
    </row>
    <row r="10" spans="1:17" ht="24.75" customHeight="1" thickBot="1">
      <c r="A10" s="21" t="s">
        <v>39</v>
      </c>
      <c r="B10" s="29"/>
      <c r="C10" s="3"/>
      <c r="E10" s="21" t="s">
        <v>2</v>
      </c>
      <c r="F10" s="22">
        <f>INT(($B$3-$F$4)/$B$8)+1</f>
        <v>17</v>
      </c>
      <c r="H10" s="1"/>
      <c r="I10" s="20" t="s">
        <v>14</v>
      </c>
      <c r="J10" s="17">
        <f>$F$4-1+$F$7+$B$8*11</f>
        <v>8699690</v>
      </c>
      <c r="K10" s="20" t="s">
        <v>18</v>
      </c>
      <c r="L10" s="17">
        <f>$F$4-1+$F$7+$B$8*15</f>
        <v>9499690</v>
      </c>
      <c r="M10" s="15"/>
      <c r="N10" s="20" t="s">
        <v>30</v>
      </c>
      <c r="O10" s="17">
        <f>$F$4-1+$F$7+$B$8*27</f>
        <v>11899690</v>
      </c>
      <c r="P10" s="20" t="s">
        <v>34</v>
      </c>
      <c r="Q10" s="17">
        <f>$F$4-1+$F$7+$B$8*31</f>
        <v>12699690</v>
      </c>
    </row>
    <row r="12" spans="1:17" ht="16.5" customHeight="1">
      <c r="A12" s="31" t="s">
        <v>65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6.5" customHeight="1">
      <c r="A13" s="31" t="s">
        <v>61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6.5" customHeight="1">
      <c r="A14" s="31" t="s">
        <v>62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16.5" customHeight="1">
      <c r="A15" s="31" t="s">
        <v>63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16.5" customHeight="1">
      <c r="A16" s="31" t="s">
        <v>64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</sheetData>
  <sheetProtection sheet="1" objects="1" scenarios="1" selectLockedCells="1"/>
  <mergeCells count="6">
    <mergeCell ref="A16:Q16"/>
    <mergeCell ref="A1:F1"/>
    <mergeCell ref="A12:Q12"/>
    <mergeCell ref="A13:Q13"/>
    <mergeCell ref="A15:Q15"/>
    <mergeCell ref="A14:Q14"/>
  </mergeCells>
  <conditionalFormatting sqref="I3:L10 N3:Q10">
    <cfRule type="expression" priority="1" dxfId="0">
      <formula>OR(I3=$B$3,J3=$B$3)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B3" sqref="B3"/>
    </sheetView>
  </sheetViews>
  <sheetFormatPr defaultColWidth="9.140625" defaultRowHeight="24.75" customHeight="1"/>
  <cols>
    <col min="1" max="1" width="18.28125" style="0" customWidth="1"/>
    <col min="2" max="2" width="12.7109375" style="0" bestFit="1" customWidth="1"/>
    <col min="3" max="4" width="7.7109375" style="0" customWidth="1"/>
    <col min="5" max="6" width="10.140625" style="0" customWidth="1"/>
    <col min="7" max="8" width="7.7109375" style="0" customWidth="1"/>
    <col min="9" max="9" width="3.140625" style="0" customWidth="1"/>
    <col min="10" max="10" width="8.7109375" style="0" customWidth="1"/>
    <col min="11" max="11" width="3.140625" style="0" customWidth="1"/>
    <col min="12" max="12" width="8.7109375" style="0" customWidth="1"/>
    <col min="13" max="13" width="3.140625" style="0" customWidth="1"/>
    <col min="14" max="14" width="8.7109375" style="0" customWidth="1"/>
  </cols>
  <sheetData>
    <row r="1" spans="1:6" ht="24.75" customHeight="1">
      <c r="A1" s="32" t="s">
        <v>60</v>
      </c>
      <c r="B1" s="33"/>
      <c r="C1" s="33"/>
      <c r="D1" s="33"/>
      <c r="E1" s="33"/>
      <c r="F1" s="33"/>
    </row>
    <row r="2" spans="9:14" ht="24.75" customHeight="1" thickBot="1">
      <c r="I2" s="2"/>
      <c r="J2" s="2"/>
      <c r="K2" s="2"/>
      <c r="L2" s="2"/>
      <c r="M2" s="2"/>
      <c r="N2" s="2"/>
    </row>
    <row r="3" spans="1:14" ht="24.75" customHeight="1" thickBot="1">
      <c r="A3" s="8" t="s">
        <v>37</v>
      </c>
      <c r="B3" s="27">
        <v>9699690</v>
      </c>
      <c r="C3" s="3"/>
      <c r="E3" s="6" t="s">
        <v>0</v>
      </c>
      <c r="F3">
        <f>INT(($B$3-1)/(18*$B$8))+1</f>
        <v>27</v>
      </c>
      <c r="H3" s="1"/>
      <c r="I3" s="9" t="s">
        <v>40</v>
      </c>
      <c r="J3" s="10">
        <f>$F$4-1+$F$7</f>
        <v>9379690</v>
      </c>
      <c r="K3" s="9" t="s">
        <v>46</v>
      </c>
      <c r="L3" s="10">
        <f>$F$4-1+$F$7+$B$8*6</f>
        <v>9499690</v>
      </c>
      <c r="M3" s="9" t="s">
        <v>52</v>
      </c>
      <c r="N3" s="10">
        <f>$F$4-1+$F$7+$B$8*12</f>
        <v>9619690</v>
      </c>
    </row>
    <row r="4" spans="5:14" ht="24.75" customHeight="1" thickBot="1">
      <c r="E4" s="6" t="s">
        <v>35</v>
      </c>
      <c r="F4" s="3">
        <f>($F$3-1)*18*$B$8+1</f>
        <v>9360001</v>
      </c>
      <c r="H4" s="1"/>
      <c r="I4" s="9" t="s">
        <v>41</v>
      </c>
      <c r="J4" s="10">
        <f>$F$4-1+$F$7+$B$8*1</f>
        <v>9399690</v>
      </c>
      <c r="K4" s="11" t="s">
        <v>47</v>
      </c>
      <c r="L4" s="10">
        <f>$F$4-1+$F$7+$B$8*7</f>
        <v>9519690</v>
      </c>
      <c r="M4" s="11" t="s">
        <v>53</v>
      </c>
      <c r="N4" s="10">
        <f>$F$4-1+$F$7+$B$8*13</f>
        <v>9639690</v>
      </c>
    </row>
    <row r="5" spans="5:14" ht="24.75" customHeight="1" thickBot="1">
      <c r="E5" s="6" t="s">
        <v>36</v>
      </c>
      <c r="F5" s="3">
        <f>$F$4+18*$B$8-1</f>
        <v>9720000</v>
      </c>
      <c r="H5" s="1"/>
      <c r="I5" s="9" t="s">
        <v>42</v>
      </c>
      <c r="J5" s="10">
        <f>$F$4-1+$F$7+$B$8*2</f>
        <v>9419690</v>
      </c>
      <c r="K5" s="11" t="s">
        <v>48</v>
      </c>
      <c r="L5" s="10">
        <f>$F$4-1+$F$7+$B$8*8</f>
        <v>9539690</v>
      </c>
      <c r="M5" s="11" t="s">
        <v>54</v>
      </c>
      <c r="N5" s="10">
        <f>$F$4-1+$F$7+$B$8*14</f>
        <v>9659690</v>
      </c>
    </row>
    <row r="6" spans="8:14" ht="24.75" customHeight="1" thickBot="1">
      <c r="H6" s="1"/>
      <c r="I6" s="12" t="s">
        <v>43</v>
      </c>
      <c r="J6" s="10">
        <f>$F$4-1+$F$7+$B$8*3</f>
        <v>9439690</v>
      </c>
      <c r="K6" s="13" t="s">
        <v>49</v>
      </c>
      <c r="L6" s="10">
        <f>$F$4-1+$F$7+$B$8*9</f>
        <v>9559690</v>
      </c>
      <c r="M6" s="13" t="s">
        <v>55</v>
      </c>
      <c r="N6" s="10">
        <f>$F$4-1+$F$7+$B$8*15</f>
        <v>9679690</v>
      </c>
    </row>
    <row r="7" spans="5:14" ht="24.75" customHeight="1" thickBot="1">
      <c r="E7" s="6" t="s">
        <v>1</v>
      </c>
      <c r="F7" s="5">
        <f>MOD($B$3-$F$4,$B$8)+1</f>
        <v>19690</v>
      </c>
      <c r="H7" s="1"/>
      <c r="I7" s="9" t="s">
        <v>44</v>
      </c>
      <c r="J7" s="10">
        <f>$F$4-1+$F$7+$B$8*4</f>
        <v>9459690</v>
      </c>
      <c r="K7" s="11" t="s">
        <v>50</v>
      </c>
      <c r="L7" s="10">
        <f>$F$4-1+$F$7+$B$8*10</f>
        <v>9579690</v>
      </c>
      <c r="M7" s="11" t="s">
        <v>56</v>
      </c>
      <c r="N7" s="10">
        <f>$F$4-1+$F$7+$B$8*16</f>
        <v>9699690</v>
      </c>
    </row>
    <row r="8" spans="1:14" ht="24.75" customHeight="1" thickBot="1">
      <c r="A8" s="6" t="s">
        <v>38</v>
      </c>
      <c r="B8" s="28">
        <v>20000</v>
      </c>
      <c r="E8" s="6" t="s">
        <v>58</v>
      </c>
      <c r="F8" s="4" t="str">
        <f>LOOKUP(INT(($B$3-$F$4)/$B$8)+1,{1,2,3,4,5,6,7,8,9,10,11,12,13,14,15,16,17,18},{"A","B","C","D","E","F","G","H","I","J","K","L","M","N","O","P","Q","R"})</f>
        <v>Q</v>
      </c>
      <c r="H8" s="1"/>
      <c r="I8" s="9" t="s">
        <v>45</v>
      </c>
      <c r="J8" s="10">
        <f>$F$4-1+$F$7+$B$8*5</f>
        <v>9479690</v>
      </c>
      <c r="K8" s="11" t="s">
        <v>51</v>
      </c>
      <c r="L8" s="10">
        <f>$F$4-1+$F$7+$B$8*11</f>
        <v>9599690</v>
      </c>
      <c r="M8" s="11" t="s">
        <v>57</v>
      </c>
      <c r="N8" s="10">
        <f>$F$4-1+$F$7+$B$8*17</f>
        <v>9719690</v>
      </c>
    </row>
    <row r="9" spans="1:8" ht="24.75" customHeight="1">
      <c r="A9" s="6"/>
      <c r="B9" s="7"/>
      <c r="H9" s="14"/>
    </row>
    <row r="10" spans="1:14" ht="16.5" customHeight="1">
      <c r="A10" s="34" t="s">
        <v>65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16.5" customHeight="1">
      <c r="A11" s="33" t="s">
        <v>66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</sheetData>
  <sheetProtection sheet="1" objects="1" scenarios="1" selectLockedCells="1"/>
  <mergeCells count="3">
    <mergeCell ref="A1:F1"/>
    <mergeCell ref="A10:N10"/>
    <mergeCell ref="A11:N11"/>
  </mergeCells>
  <conditionalFormatting sqref="I3:N8">
    <cfRule type="expression" priority="1" dxfId="0">
      <formula>OR(I3=$B$3,J3=$B$3)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dmoffitt</cp:lastModifiedBy>
  <dcterms:created xsi:type="dcterms:W3CDTF">2008-03-30T20:47:20Z</dcterms:created>
  <dcterms:modified xsi:type="dcterms:W3CDTF">2008-09-28T00:02:49Z</dcterms:modified>
  <cp:category/>
  <cp:version/>
  <cp:contentType/>
  <cp:contentStatus/>
</cp:coreProperties>
</file>